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90" yWindow="45" windowWidth="10050" windowHeight="11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3" i="1"/>
  <c r="J15"/>
  <c r="J17"/>
  <c r="J18"/>
  <c r="J19"/>
  <c r="J20"/>
  <c r="J21"/>
  <c r="J22"/>
  <c r="G22"/>
  <c r="M33" l="1"/>
  <c r="L33"/>
  <c r="J33"/>
  <c r="I33"/>
  <c r="G33"/>
  <c r="F33"/>
  <c r="D33"/>
  <c r="C33"/>
  <c r="M32"/>
  <c r="J32"/>
  <c r="G32"/>
  <c r="D32"/>
  <c r="M31"/>
  <c r="J31"/>
  <c r="G31"/>
  <c r="D31"/>
  <c r="M30"/>
  <c r="J30"/>
  <c r="G30"/>
  <c r="D30"/>
  <c r="M29"/>
  <c r="J29"/>
  <c r="G29"/>
  <c r="D29"/>
  <c r="M28"/>
  <c r="J28"/>
  <c r="G28"/>
  <c r="D28"/>
  <c r="M27"/>
  <c r="J27"/>
  <c r="G27"/>
  <c r="D27"/>
  <c r="M26"/>
  <c r="J26"/>
  <c r="G26"/>
  <c r="D26"/>
  <c r="M25"/>
  <c r="J25"/>
  <c r="G25"/>
  <c r="D25"/>
  <c r="M23"/>
  <c r="G23"/>
  <c r="B23"/>
  <c r="D23" s="1"/>
  <c r="M22"/>
  <c r="D22"/>
  <c r="M21"/>
  <c r="G21"/>
  <c r="D21"/>
  <c r="M20"/>
  <c r="G20"/>
  <c r="D20"/>
  <c r="M19"/>
  <c r="G19"/>
  <c r="D19"/>
  <c r="M18"/>
  <c r="G18"/>
  <c r="D18"/>
  <c r="M17"/>
  <c r="G17"/>
  <c r="D17"/>
  <c r="M16"/>
  <c r="J16"/>
  <c r="G16"/>
  <c r="D16"/>
  <c r="M15"/>
  <c r="G15"/>
  <c r="D15"/>
  <c r="L13"/>
  <c r="K13"/>
  <c r="M13" s="1"/>
  <c r="I13"/>
  <c r="H13"/>
  <c r="J13" s="1"/>
  <c r="F13"/>
  <c r="E13"/>
  <c r="G13" s="1"/>
  <c r="C13"/>
  <c r="B13"/>
  <c r="M12"/>
  <c r="J12"/>
  <c r="G12"/>
  <c r="M11"/>
  <c r="J11"/>
  <c r="G11"/>
  <c r="M10"/>
  <c r="J10"/>
  <c r="G10"/>
  <c r="M9"/>
  <c r="J9"/>
  <c r="G9"/>
  <c r="M8"/>
  <c r="J8"/>
  <c r="G8"/>
  <c r="M7"/>
  <c r="J7"/>
  <c r="G7"/>
  <c r="D7"/>
  <c r="M6"/>
  <c r="J6"/>
  <c r="G6"/>
  <c r="D6"/>
  <c r="M5"/>
  <c r="J5"/>
  <c r="G5"/>
  <c r="D5"/>
</calcChain>
</file>

<file path=xl/sharedStrings.xml><?xml version="1.0" encoding="utf-8"?>
<sst xmlns="http://schemas.openxmlformats.org/spreadsheetml/2006/main" count="55" uniqueCount="28">
  <si>
    <t>Latino</t>
  </si>
  <si>
    <t>Total Applications</t>
  </si>
  <si>
    <t>Income Level</t>
  </si>
  <si>
    <t>Number of Applications</t>
  </si>
  <si>
    <t>Number Originated</t>
  </si>
  <si>
    <t>Denial Rate</t>
  </si>
  <si>
    <t>ALL LOANS</t>
  </si>
  <si>
    <t>1 to 30</t>
  </si>
  <si>
    <t>31 to 50</t>
  </si>
  <si>
    <t>51 to 70</t>
  </si>
  <si>
    <t>71 to 90</t>
  </si>
  <si>
    <t>91 to 120</t>
  </si>
  <si>
    <t>121 to 150</t>
  </si>
  <si>
    <t>over 150</t>
  </si>
  <si>
    <t>Not Available</t>
  </si>
  <si>
    <t>Total</t>
  </si>
  <si>
    <t>HOME PURCHASE</t>
  </si>
  <si>
    <t>REFINANCE</t>
  </si>
  <si>
    <t>2010 New England Home Mortgage Loans by Income and by Race/Ethnicity: Applications, Originations and Denial Rates</t>
  </si>
  <si>
    <t>A breakdown on a state-by-state basis is not provided in this document due to the limited number of applications for several race/ethnicity and income categories. State data is available by request.</t>
  </si>
  <si>
    <t>Total Applications**</t>
  </si>
  <si>
    <t>Asian*</t>
  </si>
  <si>
    <t>Black*</t>
  </si>
  <si>
    <t>White*</t>
  </si>
  <si>
    <t>* These column headings refer to the demographic groups: "Non-Latino white," "non-Latino Black," and "non-Latino Asian."</t>
  </si>
  <si>
    <t>** Total includes loans for which  race/ethinicy information was not provided by applicant and data for “American Indian or Alaska Native” and “Native Hawaiian or Other Pacific Islander.”</t>
  </si>
  <si>
    <t>Source: 2010 HMDA. Data compiled by the Federal Reserve Bank of Boston.</t>
  </si>
  <si>
    <r>
      <rPr>
        <b/>
        <sz val="10"/>
        <color theme="1"/>
        <rFont val="Calibri"/>
        <family val="2"/>
        <scheme val="minor"/>
      </rPr>
      <t>NOTES:</t>
    </r>
    <r>
      <rPr>
        <sz val="10"/>
        <color theme="1"/>
        <rFont val="Calibri"/>
        <family val="2"/>
        <scheme val="minor"/>
      </rPr>
      <t xml:space="preserve"> Tables include only first-lien loans for owner-occupied homes. The data does not include junior-lien loans, all loans for multi-family properties, and all loans for non-owner-occupied homes. 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</si>
</sst>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/>
    <xf numFmtId="3" fontId="5" fillId="4" borderId="1" xfId="0" applyNumberFormat="1" applyFont="1" applyFill="1" applyBorder="1"/>
    <xf numFmtId="1" fontId="3" fillId="4" borderId="3" xfId="1" applyNumberFormat="1" applyFont="1" applyFill="1" applyBorder="1"/>
    <xf numFmtId="1" fontId="5" fillId="4" borderId="3" xfId="1" applyNumberFormat="1" applyFont="1" applyFill="1" applyBorder="1"/>
    <xf numFmtId="0" fontId="3" fillId="3" borderId="7" xfId="0" applyFont="1" applyFill="1" applyBorder="1" applyAlignment="1"/>
    <xf numFmtId="3" fontId="2" fillId="4" borderId="3" xfId="0" applyNumberFormat="1" applyFont="1" applyFill="1" applyBorder="1"/>
    <xf numFmtId="0" fontId="3" fillId="5" borderId="7" xfId="0" applyFont="1" applyFill="1" applyBorder="1" applyAlignment="1"/>
    <xf numFmtId="3" fontId="5" fillId="4" borderId="3" xfId="0" applyNumberFormat="1" applyFont="1" applyFill="1" applyBorder="1"/>
    <xf numFmtId="164" fontId="2" fillId="4" borderId="3" xfId="0" applyNumberFormat="1" applyFont="1" applyFill="1" applyBorder="1"/>
    <xf numFmtId="164" fontId="3" fillId="3" borderId="7" xfId="0" applyNumberFormat="1" applyFont="1" applyFill="1" applyBorder="1" applyAlignment="1"/>
    <xf numFmtId="164" fontId="3" fillId="5" borderId="7" xfId="0" applyNumberFormat="1" applyFont="1" applyFill="1" applyBorder="1" applyAlignment="1"/>
    <xf numFmtId="0" fontId="3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/>
    </xf>
    <xf numFmtId="3" fontId="0" fillId="4" borderId="13" xfId="0" applyNumberFormat="1" applyFont="1" applyFill="1" applyBorder="1"/>
    <xf numFmtId="0" fontId="6" fillId="5" borderId="14" xfId="0" applyFont="1" applyFill="1" applyBorder="1" applyAlignment="1">
      <alignment wrapText="1"/>
    </xf>
    <xf numFmtId="3" fontId="0" fillId="0" borderId="15" xfId="0" applyNumberFormat="1" applyFont="1" applyFill="1" applyBorder="1"/>
    <xf numFmtId="0" fontId="5" fillId="4" borderId="1" xfId="0" applyFont="1" applyFill="1" applyBorder="1" applyAlignment="1">
      <alignment horizontal="left"/>
    </xf>
    <xf numFmtId="3" fontId="0" fillId="4" borderId="15" xfId="0" applyNumberFormat="1" applyFont="1" applyFill="1" applyBorder="1"/>
    <xf numFmtId="0" fontId="6" fillId="5" borderId="2" xfId="0" applyFont="1" applyFill="1" applyBorder="1" applyAlignment="1">
      <alignment wrapText="1"/>
    </xf>
    <xf numFmtId="3" fontId="0" fillId="5" borderId="2" xfId="0" applyNumberFormat="1" applyFont="1" applyFill="1" applyBorder="1"/>
    <xf numFmtId="0" fontId="0" fillId="0" borderId="0" xfId="0" applyFont="1"/>
    <xf numFmtId="0" fontId="0" fillId="0" borderId="0" xfId="0" applyFont="1" applyBorder="1"/>
    <xf numFmtId="0" fontId="3" fillId="2" borderId="9" xfId="0" applyFont="1" applyFill="1" applyBorder="1" applyAlignment="1">
      <alignment horizontal="center" wrapText="1"/>
    </xf>
    <xf numFmtId="0" fontId="3" fillId="3" borderId="1" xfId="0" applyFont="1" applyFill="1" applyBorder="1" applyAlignment="1"/>
    <xf numFmtId="0" fontId="0" fillId="0" borderId="10" xfId="0" applyFont="1" applyBorder="1" applyAlignment="1">
      <alignment horizontal="left"/>
    </xf>
    <xf numFmtId="3" fontId="0" fillId="0" borderId="0" xfId="0" applyNumberFormat="1" applyFont="1" applyBorder="1"/>
    <xf numFmtId="164" fontId="0" fillId="0" borderId="0" xfId="0" applyNumberFormat="1" applyFont="1" applyBorder="1"/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3" borderId="6" xfId="0" applyFont="1" applyFill="1" applyBorder="1" applyAlignment="1"/>
    <xf numFmtId="0" fontId="0" fillId="5" borderId="7" xfId="0" applyFont="1" applyFill="1" applyBorder="1"/>
    <xf numFmtId="164" fontId="0" fillId="0" borderId="9" xfId="0" applyNumberFormat="1" applyFont="1" applyBorder="1"/>
    <xf numFmtId="164" fontId="0" fillId="0" borderId="15" xfId="0" applyNumberFormat="1" applyFont="1" applyBorder="1"/>
    <xf numFmtId="164" fontId="2" fillId="4" borderId="2" xfId="0" applyNumberFormat="1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/>
    <xf numFmtId="3" fontId="0" fillId="0" borderId="5" xfId="0" applyNumberFormat="1" applyFont="1" applyBorder="1"/>
    <xf numFmtId="0" fontId="0" fillId="0" borderId="5" xfId="0" applyFont="1" applyBorder="1"/>
    <xf numFmtId="3" fontId="0" fillId="0" borderId="9" xfId="0" applyNumberFormat="1" applyFont="1" applyFill="1" applyBorder="1"/>
    <xf numFmtId="0" fontId="0" fillId="0" borderId="6" xfId="0" applyFont="1" applyBorder="1"/>
    <xf numFmtId="0" fontId="0" fillId="0" borderId="7" xfId="0" applyFont="1" applyBorder="1"/>
    <xf numFmtId="164" fontId="0" fillId="0" borderId="14" xfId="0" applyNumberFormat="1" applyFont="1" applyBorder="1"/>
    <xf numFmtId="0" fontId="0" fillId="0" borderId="4" xfId="0" applyFont="1" applyBorder="1"/>
    <xf numFmtId="0" fontId="0" fillId="0" borderId="8" xfId="0" applyFont="1" applyBorder="1"/>
    <xf numFmtId="3" fontId="2" fillId="4" borderId="1" xfId="0" applyNumberFormat="1" applyFont="1" applyFill="1" applyBorder="1"/>
    <xf numFmtId="3" fontId="0" fillId="0" borderId="4" xfId="0" applyNumberFormat="1" applyFont="1" applyBorder="1"/>
    <xf numFmtId="3" fontId="0" fillId="0" borderId="8" xfId="0" applyNumberFormat="1" applyFont="1" applyBorder="1"/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zoomScaleNormal="100" workbookViewId="0">
      <selection activeCell="C39" sqref="C39"/>
    </sheetView>
  </sheetViews>
  <sheetFormatPr defaultRowHeight="15"/>
  <cols>
    <col min="1" max="1" width="13.7109375" style="25" customWidth="1"/>
    <col min="2" max="2" width="12.5703125" style="25" customWidth="1"/>
    <col min="3" max="3" width="10.85546875" style="25" customWidth="1"/>
    <col min="4" max="4" width="9.140625" style="25"/>
    <col min="5" max="5" width="13" style="25" customWidth="1"/>
    <col min="6" max="6" width="10.85546875" style="25" customWidth="1"/>
    <col min="7" max="7" width="9.140625" style="25"/>
    <col min="8" max="8" width="12.85546875" style="25" customWidth="1"/>
    <col min="9" max="9" width="11.140625" style="25" customWidth="1"/>
    <col min="10" max="10" width="9.140625" style="25"/>
    <col min="11" max="11" width="12.42578125" style="25" customWidth="1"/>
    <col min="12" max="12" width="11.140625" style="25" customWidth="1"/>
    <col min="13" max="13" width="9.140625" style="25"/>
    <col min="14" max="14" width="15.140625" style="25" customWidth="1"/>
    <col min="15" max="16384" width="9.140625" style="25"/>
  </cols>
  <sheetData>
    <row r="1" spans="1:14" ht="20.25" customHeight="1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M1" s="26"/>
    </row>
    <row r="2" spans="1:14" ht="30">
      <c r="A2" s="14"/>
      <c r="B2" s="54" t="s">
        <v>23</v>
      </c>
      <c r="C2" s="54"/>
      <c r="D2" s="54"/>
      <c r="E2" s="54" t="s">
        <v>22</v>
      </c>
      <c r="F2" s="54"/>
      <c r="G2" s="54"/>
      <c r="H2" s="54" t="s">
        <v>21</v>
      </c>
      <c r="I2" s="54"/>
      <c r="J2" s="54"/>
      <c r="K2" s="54" t="s">
        <v>0</v>
      </c>
      <c r="L2" s="54"/>
      <c r="M2" s="55"/>
      <c r="N2" s="27" t="s">
        <v>1</v>
      </c>
    </row>
    <row r="3" spans="1:14" ht="30">
      <c r="A3" s="39" t="s">
        <v>2</v>
      </c>
      <c r="B3" s="1" t="s">
        <v>3</v>
      </c>
      <c r="C3" s="1" t="s">
        <v>4</v>
      </c>
      <c r="D3" s="2" t="s">
        <v>5</v>
      </c>
      <c r="E3" s="1" t="s">
        <v>3</v>
      </c>
      <c r="F3" s="1" t="s">
        <v>4</v>
      </c>
      <c r="G3" s="2" t="s">
        <v>5</v>
      </c>
      <c r="H3" s="1" t="s">
        <v>3</v>
      </c>
      <c r="I3" s="1" t="s">
        <v>4</v>
      </c>
      <c r="J3" s="2" t="s">
        <v>5</v>
      </c>
      <c r="K3" s="1" t="s">
        <v>3</v>
      </c>
      <c r="L3" s="1" t="s">
        <v>4</v>
      </c>
      <c r="M3" s="2" t="s">
        <v>5</v>
      </c>
      <c r="N3" s="15" t="s">
        <v>20</v>
      </c>
    </row>
    <row r="4" spans="1:14">
      <c r="A4" s="28" t="s">
        <v>6</v>
      </c>
      <c r="B4" s="28"/>
      <c r="C4" s="3"/>
      <c r="D4" s="40"/>
      <c r="E4" s="28"/>
      <c r="F4" s="3"/>
      <c r="G4" s="40"/>
      <c r="H4" s="28"/>
      <c r="I4" s="3"/>
      <c r="J4" s="40"/>
      <c r="K4" s="28"/>
      <c r="L4" s="3"/>
      <c r="M4" s="40"/>
      <c r="N4" s="16"/>
    </row>
    <row r="5" spans="1:14">
      <c r="A5" s="29" t="s">
        <v>7</v>
      </c>
      <c r="B5" s="41">
        <v>17007</v>
      </c>
      <c r="C5" s="30">
        <v>7471</v>
      </c>
      <c r="D5" s="36">
        <f>6587/17007</f>
        <v>0.38731110719115658</v>
      </c>
      <c r="E5" s="42">
        <v>675</v>
      </c>
      <c r="F5" s="26">
        <v>232</v>
      </c>
      <c r="G5" s="37">
        <f>304/E5</f>
        <v>0.45037037037037037</v>
      </c>
      <c r="H5" s="42">
        <v>614</v>
      </c>
      <c r="I5" s="26">
        <v>226</v>
      </c>
      <c r="J5" s="37">
        <f>279/H5</f>
        <v>0.4543973941368078</v>
      </c>
      <c r="K5" s="41">
        <v>1213</v>
      </c>
      <c r="L5" s="26">
        <v>464</v>
      </c>
      <c r="M5" s="37">
        <f>521/K5</f>
        <v>0.42951360263808741</v>
      </c>
      <c r="N5" s="43">
        <v>22505</v>
      </c>
    </row>
    <row r="6" spans="1:14">
      <c r="A6" s="32" t="s">
        <v>8</v>
      </c>
      <c r="B6" s="41">
        <v>62675</v>
      </c>
      <c r="C6" s="30">
        <v>37663</v>
      </c>
      <c r="D6" s="37">
        <f>13397/B6</f>
        <v>0.2137534902273634</v>
      </c>
      <c r="E6" s="41">
        <v>2803</v>
      </c>
      <c r="F6" s="30">
        <v>1416</v>
      </c>
      <c r="G6" s="37">
        <f>832/E6</f>
        <v>0.29682483053870851</v>
      </c>
      <c r="H6" s="41">
        <v>2265</v>
      </c>
      <c r="I6" s="30">
        <v>1201</v>
      </c>
      <c r="J6" s="37">
        <f>609/H6</f>
        <v>0.26887417218543047</v>
      </c>
      <c r="K6" s="41">
        <v>4418</v>
      </c>
      <c r="L6" s="30">
        <v>2299</v>
      </c>
      <c r="M6" s="37">
        <f>1233/K6</f>
        <v>0.27908555907650523</v>
      </c>
      <c r="N6" s="20">
        <v>81978</v>
      </c>
    </row>
    <row r="7" spans="1:14">
      <c r="A7" s="32" t="s">
        <v>9</v>
      </c>
      <c r="B7" s="41">
        <v>84948</v>
      </c>
      <c r="C7" s="30">
        <v>55560</v>
      </c>
      <c r="D7" s="37">
        <f>14018/B7</f>
        <v>0.16501859961388143</v>
      </c>
      <c r="E7" s="41">
        <v>3032</v>
      </c>
      <c r="F7" s="30">
        <v>1531</v>
      </c>
      <c r="G7" s="37">
        <f>808/E7</f>
        <v>0.26649076517150394</v>
      </c>
      <c r="H7" s="41">
        <v>2890</v>
      </c>
      <c r="I7" s="30">
        <v>1800</v>
      </c>
      <c r="J7" s="37">
        <f>546/H7</f>
        <v>0.18892733564013842</v>
      </c>
      <c r="K7" s="41">
        <v>3861</v>
      </c>
      <c r="L7" s="30">
        <v>2110</v>
      </c>
      <c r="M7" s="37">
        <f>894/K7</f>
        <v>0.23154623154623155</v>
      </c>
      <c r="N7" s="20">
        <v>107491</v>
      </c>
    </row>
    <row r="8" spans="1:14">
      <c r="A8" s="32" t="s">
        <v>10</v>
      </c>
      <c r="B8" s="41">
        <v>77597</v>
      </c>
      <c r="C8" s="30">
        <v>52429</v>
      </c>
      <c r="D8" s="37">
        <v>0.14188692861837443</v>
      </c>
      <c r="E8" s="41">
        <v>2019</v>
      </c>
      <c r="F8" s="30">
        <v>1083</v>
      </c>
      <c r="G8" s="37">
        <f>497/E8</f>
        <v>0.24616146607231304</v>
      </c>
      <c r="H8" s="41">
        <v>3478</v>
      </c>
      <c r="I8" s="30">
        <v>2366</v>
      </c>
      <c r="J8" s="37">
        <f>498/H8</f>
        <v>0.14318573893041978</v>
      </c>
      <c r="K8" s="41">
        <v>2385</v>
      </c>
      <c r="L8" s="30">
        <v>1346</v>
      </c>
      <c r="M8" s="37">
        <f>494/K8</f>
        <v>0.2071278825995807</v>
      </c>
      <c r="N8" s="20">
        <v>97549</v>
      </c>
    </row>
    <row r="9" spans="1:14">
      <c r="A9" s="32" t="s">
        <v>11</v>
      </c>
      <c r="B9" s="41">
        <v>88153</v>
      </c>
      <c r="C9" s="30">
        <v>61938</v>
      </c>
      <c r="D9" s="37">
        <v>0.12320624368994816</v>
      </c>
      <c r="E9" s="41">
        <v>1564</v>
      </c>
      <c r="F9" s="26">
        <v>839</v>
      </c>
      <c r="G9" s="37">
        <f>380/E9</f>
        <v>0.24296675191815856</v>
      </c>
      <c r="H9" s="41">
        <v>5395</v>
      </c>
      <c r="I9" s="30">
        <v>3937</v>
      </c>
      <c r="J9" s="37">
        <f>587/H9</f>
        <v>0.1088044485634847</v>
      </c>
      <c r="K9" s="41">
        <v>1963</v>
      </c>
      <c r="L9" s="30">
        <v>1154</v>
      </c>
      <c r="M9" s="37">
        <f>356/K9</f>
        <v>0.18135506877228733</v>
      </c>
      <c r="N9" s="20">
        <v>111463</v>
      </c>
    </row>
    <row r="10" spans="1:14">
      <c r="A10" s="32" t="s">
        <v>12</v>
      </c>
      <c r="B10" s="41">
        <v>55461</v>
      </c>
      <c r="C10" s="30">
        <v>40607</v>
      </c>
      <c r="D10" s="37">
        <v>0.10378464145976452</v>
      </c>
      <c r="E10" s="42">
        <v>723</v>
      </c>
      <c r="F10" s="26">
        <v>426</v>
      </c>
      <c r="G10" s="37">
        <f>149/E10</f>
        <v>0.20608575380359612</v>
      </c>
      <c r="H10" s="41">
        <v>3310</v>
      </c>
      <c r="I10" s="30">
        <v>2521</v>
      </c>
      <c r="J10" s="37">
        <f>305/H10</f>
        <v>9.2145015105740177E-2</v>
      </c>
      <c r="K10" s="41">
        <v>1019</v>
      </c>
      <c r="L10" s="26">
        <v>619</v>
      </c>
      <c r="M10" s="37">
        <f>176/K10</f>
        <v>0.17271835132482827</v>
      </c>
      <c r="N10" s="20">
        <v>69667</v>
      </c>
    </row>
    <row r="11" spans="1:14">
      <c r="A11" s="32" t="s">
        <v>13</v>
      </c>
      <c r="B11" s="41">
        <v>92602</v>
      </c>
      <c r="C11" s="30">
        <v>67381</v>
      </c>
      <c r="D11" s="37">
        <v>0.10270836483013326</v>
      </c>
      <c r="E11" s="42">
        <v>924</v>
      </c>
      <c r="F11" s="26">
        <v>528</v>
      </c>
      <c r="G11" s="37">
        <f>168/E11</f>
        <v>0.18181818181818182</v>
      </c>
      <c r="H11" s="41">
        <v>5895</v>
      </c>
      <c r="I11" s="30">
        <v>4378</v>
      </c>
      <c r="J11" s="37">
        <f>516/H11</f>
        <v>8.7531806615776087E-2</v>
      </c>
      <c r="K11" s="41">
        <v>1495</v>
      </c>
      <c r="L11" s="26">
        <v>946</v>
      </c>
      <c r="M11" s="37">
        <f>217/K11</f>
        <v>0.14515050167224081</v>
      </c>
      <c r="N11" s="20">
        <v>117996</v>
      </c>
    </row>
    <row r="12" spans="1:14">
      <c r="A12" s="33" t="s">
        <v>14</v>
      </c>
      <c r="B12" s="41">
        <v>20426</v>
      </c>
      <c r="C12" s="30">
        <v>13220</v>
      </c>
      <c r="D12" s="37">
        <v>0.14040928228728092</v>
      </c>
      <c r="E12" s="42">
        <v>743</v>
      </c>
      <c r="F12" s="26">
        <v>430</v>
      </c>
      <c r="G12" s="37">
        <f>130/E12</f>
        <v>0.17496635262449528</v>
      </c>
      <c r="H12" s="42">
        <v>637</v>
      </c>
      <c r="I12" s="26">
        <v>304</v>
      </c>
      <c r="J12" s="37">
        <f>117/H12</f>
        <v>0.18367346938775511</v>
      </c>
      <c r="K12" s="44">
        <v>932</v>
      </c>
      <c r="L12" s="45">
        <v>504</v>
      </c>
      <c r="M12" s="46">
        <f>165/K12</f>
        <v>0.17703862660944206</v>
      </c>
      <c r="N12" s="20">
        <v>28669</v>
      </c>
    </row>
    <row r="13" spans="1:14">
      <c r="A13" s="17" t="s">
        <v>15</v>
      </c>
      <c r="B13" s="4">
        <f>SUM(B5:B12)</f>
        <v>498869</v>
      </c>
      <c r="C13" s="4">
        <f>SUM(C5:C12)</f>
        <v>336269</v>
      </c>
      <c r="D13" s="38">
        <v>0.14835157125417694</v>
      </c>
      <c r="E13" s="4">
        <f>SUM(E5:E12)</f>
        <v>12483</v>
      </c>
      <c r="F13" s="5">
        <f>SUM(F5:F12)</f>
        <v>6485</v>
      </c>
      <c r="G13" s="38">
        <f>3268/E13</f>
        <v>0.26179604261796041</v>
      </c>
      <c r="H13" s="4">
        <f>SUM(H5:H12)</f>
        <v>24484</v>
      </c>
      <c r="I13" s="6">
        <f>SUM(I5:I12)</f>
        <v>16733</v>
      </c>
      <c r="J13" s="38">
        <f>3457/H13</f>
        <v>0.14119424930566901</v>
      </c>
      <c r="K13" s="10">
        <f>SUM(K5:K12)</f>
        <v>17286</v>
      </c>
      <c r="L13" s="5">
        <f>SUM(L5:L12)</f>
        <v>9442</v>
      </c>
      <c r="M13" s="11">
        <f>4056/K13</f>
        <v>0.23464074973967372</v>
      </c>
      <c r="N13" s="18">
        <v>637318</v>
      </c>
    </row>
    <row r="14" spans="1:14">
      <c r="A14" s="34" t="s">
        <v>16</v>
      </c>
      <c r="B14" s="7"/>
      <c r="C14" s="7"/>
      <c r="D14" s="12"/>
      <c r="E14" s="7"/>
      <c r="F14" s="7"/>
      <c r="G14" s="12"/>
      <c r="H14" s="7"/>
      <c r="I14" s="7"/>
      <c r="J14" s="12"/>
      <c r="K14" s="7"/>
      <c r="L14" s="7"/>
      <c r="M14" s="12"/>
      <c r="N14" s="19"/>
    </row>
    <row r="15" spans="1:14">
      <c r="A15" s="29" t="s">
        <v>7</v>
      </c>
      <c r="B15" s="50">
        <v>4572</v>
      </c>
      <c r="C15" s="51">
        <v>2398</v>
      </c>
      <c r="D15" s="36">
        <f>1469/B15</f>
        <v>0.32130358705161854</v>
      </c>
      <c r="E15" s="26">
        <v>285</v>
      </c>
      <c r="F15" s="26">
        <v>111</v>
      </c>
      <c r="G15" s="31">
        <f>117/E15</f>
        <v>0.41052631578947368</v>
      </c>
      <c r="H15" s="47">
        <v>283</v>
      </c>
      <c r="I15" s="48">
        <v>120</v>
      </c>
      <c r="J15" s="36">
        <f>121/H15</f>
        <v>0.42756183745583037</v>
      </c>
      <c r="K15" s="47">
        <v>679</v>
      </c>
      <c r="L15" s="48">
        <v>310</v>
      </c>
      <c r="M15" s="36">
        <f>260/K15</f>
        <v>0.38291605301914583</v>
      </c>
      <c r="N15" s="20">
        <v>6509</v>
      </c>
    </row>
    <row r="16" spans="1:14">
      <c r="A16" s="32" t="s">
        <v>8</v>
      </c>
      <c r="B16" s="41">
        <v>20782</v>
      </c>
      <c r="C16" s="30">
        <v>14327</v>
      </c>
      <c r="D16" s="37">
        <f>3333/B16</f>
        <v>0.16037917428543932</v>
      </c>
      <c r="E16" s="30">
        <v>1560</v>
      </c>
      <c r="F16" s="26">
        <v>964</v>
      </c>
      <c r="G16" s="31">
        <f>349/E16</f>
        <v>0.22371794871794873</v>
      </c>
      <c r="H16" s="41">
        <v>1090</v>
      </c>
      <c r="I16" s="26">
        <v>653</v>
      </c>
      <c r="J16" s="37">
        <f>233/H16</f>
        <v>0.21376146788990827</v>
      </c>
      <c r="K16" s="41">
        <v>2718</v>
      </c>
      <c r="L16" s="30">
        <v>1629</v>
      </c>
      <c r="M16" s="37">
        <f>640/K16</f>
        <v>0.235467255334805</v>
      </c>
      <c r="N16" s="20">
        <v>28727</v>
      </c>
    </row>
    <row r="17" spans="1:14">
      <c r="A17" s="32" t="s">
        <v>9</v>
      </c>
      <c r="B17" s="41">
        <v>22741</v>
      </c>
      <c r="C17" s="30">
        <v>16796</v>
      </c>
      <c r="D17" s="37">
        <f>2724/B17</f>
        <v>0.1197836506749923</v>
      </c>
      <c r="E17" s="30">
        <v>1519</v>
      </c>
      <c r="F17" s="26">
        <v>917</v>
      </c>
      <c r="G17" s="31">
        <f>331/E17</f>
        <v>0.21790651744568795</v>
      </c>
      <c r="H17" s="41">
        <v>1197</v>
      </c>
      <c r="I17" s="26">
        <v>832</v>
      </c>
      <c r="J17" s="37">
        <f>171/H17</f>
        <v>0.14285714285714285</v>
      </c>
      <c r="K17" s="41">
        <v>1958</v>
      </c>
      <c r="L17" s="30">
        <v>1267</v>
      </c>
      <c r="M17" s="37">
        <f>369/K17</f>
        <v>0.18845760980592441</v>
      </c>
      <c r="N17" s="20">
        <v>30255</v>
      </c>
    </row>
    <row r="18" spans="1:14">
      <c r="A18" s="32" t="s">
        <v>10</v>
      </c>
      <c r="B18" s="41">
        <v>16545</v>
      </c>
      <c r="C18" s="30">
        <v>12536</v>
      </c>
      <c r="D18" s="37">
        <f>1645/B18</f>
        <v>9.942580840132971E-2</v>
      </c>
      <c r="E18" s="26">
        <v>778</v>
      </c>
      <c r="F18" s="26">
        <v>513</v>
      </c>
      <c r="G18" s="31">
        <f>136/E18</f>
        <v>0.17480719794344474</v>
      </c>
      <c r="H18" s="41">
        <v>1004</v>
      </c>
      <c r="I18" s="26">
        <v>717</v>
      </c>
      <c r="J18" s="37">
        <f>116/H18</f>
        <v>0.11553784860557768</v>
      </c>
      <c r="K18" s="42">
        <v>883</v>
      </c>
      <c r="L18" s="26">
        <v>583</v>
      </c>
      <c r="M18" s="37">
        <f>146/K18</f>
        <v>0.16534541336353342</v>
      </c>
      <c r="N18" s="20">
        <v>21304</v>
      </c>
    </row>
    <row r="19" spans="1:14">
      <c r="A19" s="32" t="s">
        <v>11</v>
      </c>
      <c r="B19" s="41">
        <v>16043</v>
      </c>
      <c r="C19" s="30">
        <v>12245</v>
      </c>
      <c r="D19" s="37">
        <f>1492/B19</f>
        <v>9.3000062332481453E-2</v>
      </c>
      <c r="E19" s="26">
        <v>505</v>
      </c>
      <c r="F19" s="26">
        <v>321</v>
      </c>
      <c r="G19" s="31">
        <f>85/E19</f>
        <v>0.16831683168316833</v>
      </c>
      <c r="H19" s="41">
        <v>1282</v>
      </c>
      <c r="I19" s="26">
        <v>932</v>
      </c>
      <c r="J19" s="37">
        <f>129/H19</f>
        <v>0.10062402496099844</v>
      </c>
      <c r="K19" s="42">
        <v>558</v>
      </c>
      <c r="L19" s="26">
        <v>392</v>
      </c>
      <c r="M19" s="37">
        <f>77/K19</f>
        <v>0.13799283154121864</v>
      </c>
      <c r="N19" s="20">
        <v>20687</v>
      </c>
    </row>
    <row r="20" spans="1:14">
      <c r="A20" s="32" t="s">
        <v>12</v>
      </c>
      <c r="B20" s="41">
        <v>9090</v>
      </c>
      <c r="C20" s="30">
        <v>7070</v>
      </c>
      <c r="D20" s="37">
        <f>664/B20</f>
        <v>7.3047304730473051E-2</v>
      </c>
      <c r="E20" s="26">
        <v>156</v>
      </c>
      <c r="F20" s="26">
        <v>116</v>
      </c>
      <c r="G20" s="31">
        <f>17/E20</f>
        <v>0.10897435897435898</v>
      </c>
      <c r="H20" s="42">
        <v>721</v>
      </c>
      <c r="I20" s="26">
        <v>541</v>
      </c>
      <c r="J20" s="37">
        <f>49/H20</f>
        <v>6.7961165048543687E-2</v>
      </c>
      <c r="K20" s="42">
        <v>236</v>
      </c>
      <c r="L20" s="26">
        <v>153</v>
      </c>
      <c r="M20" s="37">
        <f>37/K20</f>
        <v>0.15677966101694915</v>
      </c>
      <c r="N20" s="20">
        <v>11670</v>
      </c>
    </row>
    <row r="21" spans="1:14">
      <c r="A21" s="32" t="s">
        <v>13</v>
      </c>
      <c r="B21" s="41">
        <v>15680</v>
      </c>
      <c r="C21" s="30">
        <v>11801</v>
      </c>
      <c r="D21" s="37">
        <f>1209/B21</f>
        <v>7.7104591836734696E-2</v>
      </c>
      <c r="E21" s="26">
        <v>238</v>
      </c>
      <c r="F21" s="26">
        <v>148</v>
      </c>
      <c r="G21" s="31">
        <f>36/E21</f>
        <v>0.15126050420168066</v>
      </c>
      <c r="H21" s="41">
        <v>1423</v>
      </c>
      <c r="I21" s="30">
        <v>1043</v>
      </c>
      <c r="J21" s="37">
        <f>110/H21</f>
        <v>7.7301475755446242E-2</v>
      </c>
      <c r="K21" s="42">
        <v>377</v>
      </c>
      <c r="L21" s="26">
        <v>249</v>
      </c>
      <c r="M21" s="37">
        <f>47/K21</f>
        <v>0.12466843501326259</v>
      </c>
      <c r="N21" s="20">
        <v>20711</v>
      </c>
    </row>
    <row r="22" spans="1:14">
      <c r="A22" s="33" t="s">
        <v>14</v>
      </c>
      <c r="B22" s="41">
        <v>1184</v>
      </c>
      <c r="C22" s="26">
        <v>544</v>
      </c>
      <c r="D22" s="37">
        <f>199/B22</f>
        <v>0.16807432432432431</v>
      </c>
      <c r="E22" s="26">
        <v>36</v>
      </c>
      <c r="F22" s="26">
        <v>14</v>
      </c>
      <c r="G22" s="31">
        <f>8/E22</f>
        <v>0.22222222222222221</v>
      </c>
      <c r="H22" s="42">
        <v>112</v>
      </c>
      <c r="I22" s="26">
        <v>46</v>
      </c>
      <c r="J22" s="37">
        <f>25/H22</f>
        <v>0.22321428571428573</v>
      </c>
      <c r="K22" s="42">
        <v>55</v>
      </c>
      <c r="L22" s="26">
        <v>29</v>
      </c>
      <c r="M22" s="37">
        <f>10/K22</f>
        <v>0.18181818181818182</v>
      </c>
      <c r="N22" s="20">
        <v>1804</v>
      </c>
    </row>
    <row r="23" spans="1:14">
      <c r="A23" s="21" t="s">
        <v>15</v>
      </c>
      <c r="B23" s="4">
        <f>SUM(B15:B22)</f>
        <v>106637</v>
      </c>
      <c r="C23" s="8">
        <v>77717</v>
      </c>
      <c r="D23" s="38">
        <f>12735/B23</f>
        <v>0.11942383975543198</v>
      </c>
      <c r="E23" s="8">
        <v>5077</v>
      </c>
      <c r="F23" s="8">
        <v>3104</v>
      </c>
      <c r="G23" s="11">
        <f>1079/E23</f>
        <v>0.21252708292298603</v>
      </c>
      <c r="H23" s="49">
        <v>7112</v>
      </c>
      <c r="I23" s="8">
        <v>4884</v>
      </c>
      <c r="J23" s="38">
        <f>954/H23</f>
        <v>0.13413948256467942</v>
      </c>
      <c r="K23" s="49">
        <v>7464</v>
      </c>
      <c r="L23" s="8">
        <v>4612</v>
      </c>
      <c r="M23" s="38">
        <f>1586/K23</f>
        <v>0.212486602357985</v>
      </c>
      <c r="N23" s="22">
        <v>141667</v>
      </c>
    </row>
    <row r="24" spans="1:14">
      <c r="A24" s="34" t="s">
        <v>17</v>
      </c>
      <c r="B24" s="7"/>
      <c r="C24" s="7"/>
      <c r="D24" s="12"/>
      <c r="E24" s="7"/>
      <c r="F24" s="9"/>
      <c r="G24" s="13"/>
      <c r="H24" s="35"/>
      <c r="I24" s="9"/>
      <c r="J24" s="13"/>
      <c r="K24" s="7"/>
      <c r="L24" s="7"/>
      <c r="M24" s="12"/>
      <c r="N24" s="23"/>
    </row>
    <row r="25" spans="1:14">
      <c r="A25" s="29" t="s">
        <v>7</v>
      </c>
      <c r="B25" s="50">
        <v>11226</v>
      </c>
      <c r="C25" s="51">
        <v>4467</v>
      </c>
      <c r="D25" s="36">
        <f>4670/B25</f>
        <v>0.41599857473721719</v>
      </c>
      <c r="E25" s="47">
        <v>346</v>
      </c>
      <c r="F25" s="48">
        <v>108</v>
      </c>
      <c r="G25" s="36">
        <f>169/E25</f>
        <v>0.48843930635838151</v>
      </c>
      <c r="H25" s="47">
        <v>308</v>
      </c>
      <c r="I25" s="48">
        <v>100</v>
      </c>
      <c r="J25" s="36">
        <f>147/H25</f>
        <v>0.47727272727272729</v>
      </c>
      <c r="K25" s="26">
        <v>495</v>
      </c>
      <c r="L25" s="26">
        <v>140</v>
      </c>
      <c r="M25" s="36">
        <f>241/K25</f>
        <v>0.4868686868686869</v>
      </c>
      <c r="N25" s="20">
        <v>14558</v>
      </c>
    </row>
    <row r="26" spans="1:14">
      <c r="A26" s="32" t="s">
        <v>8</v>
      </c>
      <c r="B26" s="41">
        <v>39046</v>
      </c>
      <c r="C26" s="30">
        <v>21439</v>
      </c>
      <c r="D26" s="37">
        <f>9507/B26</f>
        <v>0.24348204681657531</v>
      </c>
      <c r="E26" s="41">
        <v>1174</v>
      </c>
      <c r="F26" s="26">
        <v>423</v>
      </c>
      <c r="G26" s="37">
        <f>456/E26</f>
        <v>0.38841567291311757</v>
      </c>
      <c r="H26" s="41">
        <v>1141</v>
      </c>
      <c r="I26" s="26">
        <v>534</v>
      </c>
      <c r="J26" s="37">
        <f>361/H26</f>
        <v>0.31638913234005256</v>
      </c>
      <c r="K26" s="30">
        <v>1616</v>
      </c>
      <c r="L26" s="26">
        <v>630</v>
      </c>
      <c r="M26" s="37">
        <f>565/K26</f>
        <v>0.34962871287128711</v>
      </c>
      <c r="N26" s="20">
        <v>49973</v>
      </c>
    </row>
    <row r="27" spans="1:14">
      <c r="A27" s="32" t="s">
        <v>9</v>
      </c>
      <c r="B27" s="41">
        <v>59042</v>
      </c>
      <c r="C27" s="30">
        <v>36504</v>
      </c>
      <c r="D27" s="37">
        <f>10815/B27</f>
        <v>0.18317468920429525</v>
      </c>
      <c r="E27" s="41">
        <v>1449</v>
      </c>
      <c r="F27" s="26">
        <v>583</v>
      </c>
      <c r="G27" s="37">
        <f>457/E27</f>
        <v>0.31538992408557626</v>
      </c>
      <c r="H27" s="41">
        <v>1655</v>
      </c>
      <c r="I27" s="26">
        <v>944</v>
      </c>
      <c r="J27" s="37">
        <f>367/H27</f>
        <v>0.2217522658610272</v>
      </c>
      <c r="K27" s="30">
        <v>1829</v>
      </c>
      <c r="L27" s="26">
        <v>811</v>
      </c>
      <c r="M27" s="37">
        <f>500/K27</f>
        <v>0.27337342810278842</v>
      </c>
      <c r="N27" s="20">
        <v>73583</v>
      </c>
    </row>
    <row r="28" spans="1:14">
      <c r="A28" s="32" t="s">
        <v>10</v>
      </c>
      <c r="B28" s="41">
        <v>58250</v>
      </c>
      <c r="C28" s="30">
        <v>37852</v>
      </c>
      <c r="D28" s="37">
        <f>9009/B28</f>
        <v>0.15466094420600859</v>
      </c>
      <c r="E28" s="41">
        <v>1187</v>
      </c>
      <c r="F28" s="26">
        <v>544</v>
      </c>
      <c r="G28" s="37">
        <f>346/E28</f>
        <v>0.2914911541701769</v>
      </c>
      <c r="H28" s="41">
        <v>2440</v>
      </c>
      <c r="I28" s="30">
        <v>1639</v>
      </c>
      <c r="J28" s="37">
        <f>369/H28</f>
        <v>0.15122950819672132</v>
      </c>
      <c r="K28" s="30">
        <v>1443</v>
      </c>
      <c r="L28" s="26">
        <v>723</v>
      </c>
      <c r="M28" s="37">
        <f>339/K28</f>
        <v>0.23492723492723494</v>
      </c>
      <c r="N28" s="20">
        <v>73024</v>
      </c>
    </row>
    <row r="29" spans="1:14">
      <c r="A29" s="32" t="s">
        <v>11</v>
      </c>
      <c r="B29" s="41">
        <v>69233</v>
      </c>
      <c r="C29" s="30">
        <v>47522</v>
      </c>
      <c r="D29" s="37">
        <f>9066/B29</f>
        <v>0.13094911386188668</v>
      </c>
      <c r="E29" s="41">
        <v>1035</v>
      </c>
      <c r="F29" s="26">
        <v>503</v>
      </c>
      <c r="G29" s="37">
        <f>289/E29</f>
        <v>0.2792270531400966</v>
      </c>
      <c r="H29" s="41">
        <v>4069</v>
      </c>
      <c r="I29" s="30">
        <v>2978</v>
      </c>
      <c r="J29" s="37">
        <f>449/H29</f>
        <v>0.11034652248709757</v>
      </c>
      <c r="K29" s="30">
        <v>1372</v>
      </c>
      <c r="L29" s="26">
        <v>739</v>
      </c>
      <c r="M29" s="37">
        <f>276/K29</f>
        <v>0.20116618075801748</v>
      </c>
      <c r="N29" s="20">
        <v>87446</v>
      </c>
    </row>
    <row r="30" spans="1:14">
      <c r="A30" s="32" t="s">
        <v>12</v>
      </c>
      <c r="B30" s="41">
        <v>44687</v>
      </c>
      <c r="C30" s="30">
        <v>32236</v>
      </c>
      <c r="D30" s="37">
        <f>4943/B30</f>
        <v>0.11061382504979077</v>
      </c>
      <c r="E30" s="42">
        <v>548</v>
      </c>
      <c r="F30" s="26">
        <v>300</v>
      </c>
      <c r="G30" s="37">
        <f>128/E30</f>
        <v>0.23357664233576642</v>
      </c>
      <c r="H30" s="41">
        <v>2560</v>
      </c>
      <c r="I30" s="30">
        <v>1964</v>
      </c>
      <c r="J30" s="37">
        <f>249/H30</f>
        <v>9.7265624999999994E-2</v>
      </c>
      <c r="K30" s="26">
        <v>761</v>
      </c>
      <c r="L30" s="26">
        <v>453</v>
      </c>
      <c r="M30" s="37">
        <f>130/K30</f>
        <v>0.17082785808147175</v>
      </c>
      <c r="N30" s="20">
        <v>56020</v>
      </c>
    </row>
    <row r="31" spans="1:14">
      <c r="A31" s="32" t="s">
        <v>13</v>
      </c>
      <c r="B31" s="41">
        <v>74671</v>
      </c>
      <c r="C31" s="30">
        <v>53885</v>
      </c>
      <c r="D31" s="37">
        <f>8085/B31</f>
        <v>0.1082749661849982</v>
      </c>
      <c r="E31" s="42">
        <v>669</v>
      </c>
      <c r="F31" s="26">
        <v>369</v>
      </c>
      <c r="G31" s="37">
        <f>129/E31</f>
        <v>0.19282511210762332</v>
      </c>
      <c r="H31" s="41">
        <v>4405</v>
      </c>
      <c r="I31" s="30">
        <v>3300</v>
      </c>
      <c r="J31" s="37">
        <f>389/H31</f>
        <v>8.8308740068104422E-2</v>
      </c>
      <c r="K31" s="30">
        <v>1091</v>
      </c>
      <c r="L31" s="26">
        <v>683</v>
      </c>
      <c r="M31" s="37">
        <f>162/K31</f>
        <v>0.14848762603116408</v>
      </c>
      <c r="N31" s="20">
        <v>94576</v>
      </c>
    </row>
    <row r="32" spans="1:14">
      <c r="A32" s="33" t="s">
        <v>14</v>
      </c>
      <c r="B32" s="41">
        <v>18959</v>
      </c>
      <c r="C32" s="30">
        <v>12467</v>
      </c>
      <c r="D32" s="37">
        <f>2624/B32</f>
        <v>0.13840392425760853</v>
      </c>
      <c r="E32" s="42">
        <v>700</v>
      </c>
      <c r="F32" s="26">
        <v>411</v>
      </c>
      <c r="G32" s="37">
        <f>121/E32</f>
        <v>0.17285714285714285</v>
      </c>
      <c r="H32" s="42">
        <v>522</v>
      </c>
      <c r="I32" s="26">
        <v>256</v>
      </c>
      <c r="J32" s="37">
        <f>92/H32</f>
        <v>0.17624521072796934</v>
      </c>
      <c r="K32" s="26">
        <v>871</v>
      </c>
      <c r="L32" s="26">
        <v>474</v>
      </c>
      <c r="M32" s="37">
        <f>152/K32</f>
        <v>0.17451205510907003</v>
      </c>
      <c r="N32" s="20">
        <v>26520</v>
      </c>
    </row>
    <row r="33" spans="1:14">
      <c r="A33" s="17" t="s">
        <v>15</v>
      </c>
      <c r="B33" s="49">
        <v>375114</v>
      </c>
      <c r="C33" s="8">
        <f>SUM(C25:C32)</f>
        <v>246372</v>
      </c>
      <c r="D33" s="38">
        <f>58719/B33</f>
        <v>0.15653641293046913</v>
      </c>
      <c r="E33" s="49">
        <v>7108</v>
      </c>
      <c r="F33" s="8">
        <f>SUM(F25:F32)</f>
        <v>3241</v>
      </c>
      <c r="G33" s="38">
        <f>2095/E33</f>
        <v>0.29473832301631964</v>
      </c>
      <c r="H33" s="49">
        <v>17100</v>
      </c>
      <c r="I33" s="8">
        <f>SUM(I25:I32)</f>
        <v>11715</v>
      </c>
      <c r="J33" s="38">
        <f>2423/H33</f>
        <v>0.14169590643274854</v>
      </c>
      <c r="K33" s="8">
        <v>9478</v>
      </c>
      <c r="L33" s="8">
        <f>SUM(L25:L32)</f>
        <v>4653</v>
      </c>
      <c r="M33" s="38">
        <f>2365/K33</f>
        <v>0.24952521629035662</v>
      </c>
      <c r="N33" s="24">
        <v>475700</v>
      </c>
    </row>
    <row r="34" spans="1:14">
      <c r="A34" s="56" t="s">
        <v>24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4" ht="29.25" customHeight="1">
      <c r="A35" s="57" t="s">
        <v>25</v>
      </c>
      <c r="B35" s="57"/>
      <c r="C35" s="57"/>
      <c r="D35" s="57"/>
      <c r="E35" s="57"/>
      <c r="F35" s="57"/>
      <c r="G35" s="57"/>
      <c r="H35" s="57"/>
      <c r="I35" s="57"/>
      <c r="J35" s="57"/>
      <c r="K35" s="58"/>
      <c r="L35" s="58"/>
      <c r="M35" s="52"/>
    </row>
    <row r="36" spans="1:14" ht="28.5" customHeight="1">
      <c r="A36" s="59" t="s">
        <v>27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4" ht="27" customHeight="1">
      <c r="A37" s="60" t="s">
        <v>19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56"/>
    </row>
    <row r="38" spans="1:14">
      <c r="A38" s="61" t="s">
        <v>26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</sheetData>
  <mergeCells count="8">
    <mergeCell ref="A36:L36"/>
    <mergeCell ref="A37:K37"/>
    <mergeCell ref="A35:J35"/>
    <mergeCell ref="A1:K1"/>
    <mergeCell ref="B2:D2"/>
    <mergeCell ref="E2:G2"/>
    <mergeCell ref="H2:J2"/>
    <mergeCell ref="K2:M2"/>
  </mergeCells>
  <pageMargins left="0.7" right="0.7" top="0.75" bottom="0.75" header="0.3" footer="0.3"/>
  <pageSetup orientation="portrait" verticalDpi="0" r:id="rId1"/>
  <ignoredErrors>
    <ignoredError sqref="G13 J13 M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A1TLM01</dc:creator>
  <cp:lastModifiedBy>A1AXM01</cp:lastModifiedBy>
  <dcterms:created xsi:type="dcterms:W3CDTF">2011-11-23T20:08:40Z</dcterms:created>
  <dcterms:modified xsi:type="dcterms:W3CDTF">2011-11-30T18:23:31Z</dcterms:modified>
</cp:coreProperties>
</file>